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bigot\Documents\SEED\"/>
    </mc:Choice>
  </mc:AlternateContent>
  <bookViews>
    <workbookView xWindow="0" yWindow="0" windowWidth="26985" windowHeight="11070"/>
  </bookViews>
  <sheets>
    <sheet name="DEBITS P810-820-S-40KG" sheetId="1" r:id="rId1"/>
    <sheet name="ESTIMATION Poids et Tarif" sheetId="2" r:id="rId2"/>
  </sheets>
  <calcPr calcId="152511"/>
</workbook>
</file>

<file path=xl/calcChain.xml><?xml version="1.0" encoding="utf-8"?>
<calcChain xmlns="http://schemas.openxmlformats.org/spreadsheetml/2006/main">
  <c r="I14" i="2" l="1"/>
  <c r="G14" i="2" s="1"/>
  <c r="I13" i="2"/>
  <c r="G13" i="2" s="1"/>
  <c r="I7" i="2"/>
  <c r="G7" i="2" s="1"/>
  <c r="L16" i="2"/>
  <c r="L17" i="2"/>
  <c r="L12" i="2"/>
  <c r="L8" i="2"/>
  <c r="L10" i="2"/>
  <c r="B21" i="2"/>
  <c r="F16" i="1"/>
  <c r="D12" i="1"/>
  <c r="I5" i="2" s="1"/>
  <c r="G5" i="2" l="1"/>
  <c r="N5" i="2"/>
  <c r="I6" i="1" l="1"/>
  <c r="I5" i="1"/>
  <c r="I3" i="1"/>
  <c r="I2" i="1"/>
  <c r="B22" i="2" l="1"/>
  <c r="B28" i="1" l="1"/>
  <c r="B27" i="1"/>
  <c r="E34" i="1"/>
  <c r="E33" i="1"/>
  <c r="E21" i="1" l="1"/>
  <c r="E20" i="1"/>
  <c r="D20" i="1"/>
  <c r="D19" i="1"/>
  <c r="D14" i="1"/>
  <c r="E13" i="1"/>
  <c r="I10" i="2" l="1"/>
  <c r="G10" i="2" s="1"/>
  <c r="I4" i="1"/>
  <c r="I2" i="2" s="1"/>
  <c r="G2" i="2" s="1"/>
  <c r="I7" i="1"/>
  <c r="I3" i="2" s="1"/>
  <c r="G3" i="2" s="1"/>
  <c r="D28" i="1"/>
  <c r="D27" i="1"/>
  <c r="D26" i="1"/>
  <c r="D21" i="1"/>
  <c r="I9" i="2" s="1"/>
  <c r="G9" i="2" s="1"/>
  <c r="B26" i="1"/>
  <c r="E19" i="1"/>
  <c r="I8" i="2" s="1"/>
  <c r="G8" i="2" s="1"/>
  <c r="N10" i="2" l="1"/>
  <c r="N8" i="2"/>
  <c r="N9" i="2"/>
  <c r="N3" i="2"/>
  <c r="N2" i="2"/>
  <c r="E27" i="1"/>
  <c r="E32" i="1"/>
  <c r="I18" i="2" s="1"/>
  <c r="E28" i="1"/>
  <c r="I16" i="2" s="1"/>
  <c r="E31" i="1"/>
  <c r="I15" i="2" s="1"/>
  <c r="G15" i="2" s="1"/>
  <c r="E30" i="1"/>
  <c r="I12" i="2" s="1"/>
  <c r="E26" i="1"/>
  <c r="D18" i="1"/>
  <c r="E18" i="1" s="1"/>
  <c r="G12" i="2" l="1"/>
  <c r="N12" i="2"/>
  <c r="G16" i="2"/>
  <c r="N16" i="2"/>
  <c r="I17" i="2"/>
  <c r="N18" i="2"/>
  <c r="G18" i="2"/>
  <c r="G17" i="2" l="1"/>
  <c r="G25" i="2" s="1"/>
  <c r="N17" i="2"/>
  <c r="B25" i="2" s="1"/>
</calcChain>
</file>

<file path=xl/sharedStrings.xml><?xml version="1.0" encoding="utf-8"?>
<sst xmlns="http://schemas.openxmlformats.org/spreadsheetml/2006/main" count="126" uniqueCount="90">
  <si>
    <t>QUANTITE</t>
  </si>
  <si>
    <t>DEBIT ALUMINIUM</t>
  </si>
  <si>
    <t>ALUMINIUM</t>
  </si>
  <si>
    <t>POINTER</t>
  </si>
  <si>
    <t>QUINCAILLERIE</t>
  </si>
  <si>
    <t>FREIN AMORTISSEUR</t>
  </si>
  <si>
    <t xml:space="preserve"> </t>
  </si>
  <si>
    <t>FINITIONS</t>
  </si>
  <si>
    <t>GUIDE BAS</t>
  </si>
  <si>
    <t>DEBIT PROFIL DE VITRAGE/JOINT</t>
  </si>
  <si>
    <t>JOINT DE BUTEE PLAT</t>
  </si>
  <si>
    <t>DATE</t>
  </si>
  <si>
    <t>REF</t>
  </si>
  <si>
    <t>EQUERRE DE SUSPENSION</t>
  </si>
  <si>
    <t>CAPOT DE FINITION</t>
  </si>
  <si>
    <t>RAIL HAUT P40</t>
  </si>
  <si>
    <t>Nbre de porte :</t>
  </si>
  <si>
    <t>NOIR</t>
  </si>
  <si>
    <t>LONGEUR (mm)</t>
  </si>
  <si>
    <t>JOINT BUTEE</t>
  </si>
  <si>
    <t>PROFIL DE VITRAGE</t>
  </si>
  <si>
    <t>POIGNEE P810/P820</t>
  </si>
  <si>
    <t>VIS 4,8x40</t>
  </si>
  <si>
    <t>FREIN AMORTISSEUR SIMPLE 40KG</t>
  </si>
  <si>
    <t>FREIN AMORTISSEUR DOUBLE 30KG</t>
  </si>
  <si>
    <t>PROFIL DE VITRAGE 6/8</t>
  </si>
  <si>
    <t>TRAVERSE INTERMEDIAIRE 28</t>
  </si>
  <si>
    <t>TRAVERSE HAUTE ET BASSE 52</t>
  </si>
  <si>
    <t>CHARIOT P40 N COMPLET</t>
  </si>
  <si>
    <t>Remplissage 33/2</t>
  </si>
  <si>
    <t>NOIR GRANITE</t>
  </si>
  <si>
    <t>CLIENT</t>
  </si>
  <si>
    <t>DEBITS GAMME P810 SUSPENDUE PROGRAMME 40 KG</t>
  </si>
  <si>
    <t>REMPLISSAGE HAUT</t>
  </si>
  <si>
    <t>REMPLISSAGE BAS</t>
  </si>
  <si>
    <t>Poid estimé Kg</t>
  </si>
  <si>
    <t>Type de remplissage</t>
  </si>
  <si>
    <t>VERRE</t>
  </si>
  <si>
    <t>MELAMINE</t>
  </si>
  <si>
    <t>Epaisseur remplissage</t>
  </si>
  <si>
    <t>Poignée P810</t>
  </si>
  <si>
    <t>Traverse 52 HB</t>
  </si>
  <si>
    <t>Hauteur porte</t>
  </si>
  <si>
    <t>Largeur porte</t>
  </si>
  <si>
    <t>mm</t>
  </si>
  <si>
    <t>Kg</t>
  </si>
  <si>
    <t>Kg/m</t>
  </si>
  <si>
    <t>m</t>
  </si>
  <si>
    <t>Densité</t>
  </si>
  <si>
    <t>Kg/mm/m² Verre</t>
  </si>
  <si>
    <t>Kg/mm/m² Mélaminé</t>
  </si>
  <si>
    <t>Remplissage 8mm</t>
  </si>
  <si>
    <t>de la porte (porte en position normale : prise de cotes entre la TRAVERSE INTER 28 et LA TRAVERSE HAUTE 52).</t>
  </si>
  <si>
    <t>Entrez la hauteur sous traverse pour les dimensions des remplissages haut et bas.</t>
  </si>
  <si>
    <t>Traverse horizontal :</t>
  </si>
  <si>
    <t>LARGEUR PORTE (LPF) :</t>
  </si>
  <si>
    <t>HAUTEUR FACADE (HF) :</t>
  </si>
  <si>
    <t>TRANSPARENT</t>
  </si>
  <si>
    <t>PLAT A COLLER***</t>
  </si>
  <si>
    <t xml:space="preserve">***Pour des raisons de tolérance de découpe des remplissage, le PLAT A COLLER se découpe après l'assemblage </t>
  </si>
  <si>
    <t>** La hauteur de remplissage est calculée pour une traverse centrée sur la porte. Pour une hauteur spécifique :</t>
  </si>
  <si>
    <t>DEBIT REMPLISSAGE TRAVERSE CENTREE si NON CENTREE** --------&gt;</t>
  </si>
  <si>
    <t>**HAUTEUR SOUS TRAVERSE (HM) =</t>
  </si>
  <si>
    <t>HAUTEUR REMPLISSAGE HAUT (HRH)=</t>
  </si>
  <si>
    <t>LARGEUR REMPLISSAGE HAUT (LR)=</t>
  </si>
  <si>
    <t>HAUTEUR REMPLISSAGE BAS (HRB) =</t>
  </si>
  <si>
    <t>LARGEUR REMPLISSAGE BAS (LR) =</t>
  </si>
  <si>
    <t>HAUTEUR REMPLISSAGE =</t>
  </si>
  <si>
    <t>LARGEUR REMPLISSAGE (LR) =</t>
  </si>
  <si>
    <t>Version_3    Date 26/02/18</t>
  </si>
  <si>
    <t>* LONGUEUR DE RAIL au moins 2x la LARGEUR PORTE (LPF)</t>
  </si>
  <si>
    <t>LONGUEUR DE RAIL HAUT* :</t>
  </si>
  <si>
    <t>Remplissage SANS TRAVERSE</t>
  </si>
  <si>
    <t>Remplissage bas</t>
  </si>
  <si>
    <t>Remplissage haut</t>
  </si>
  <si>
    <t>Traverse INTER 28</t>
  </si>
  <si>
    <t>TOTAL</t>
  </si>
  <si>
    <t>€/m²</t>
  </si>
  <si>
    <t>€/m</t>
  </si>
  <si>
    <t>u</t>
  </si>
  <si>
    <t>Coût TOTAL estimé</t>
  </si>
  <si>
    <t>Rail Haut 43</t>
  </si>
  <si>
    <t>€/u</t>
  </si>
  <si>
    <t>Capot</t>
  </si>
  <si>
    <t>Guide bas</t>
  </si>
  <si>
    <t>Equerre de fixation murale</t>
  </si>
  <si>
    <t>PRIX</t>
  </si>
  <si>
    <t>m²</t>
  </si>
  <si>
    <t>Surface/Qté</t>
  </si>
  <si>
    <t>Poids TOTAL estimé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</si>
</sst>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0.000"/>
    <numFmt numFmtId="167" formatCode="_-* #,##0.00\ [$€-40C]_-;\-* #,##0.00\ [$€-40C]_-;_-* &quot;-&quot;??\ [$€-40C]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8">
    <xf numFmtId="0" fontId="0" fillId="0" borderId="0" xfId="0"/>
    <xf numFmtId="0" fontId="0" fillId="0" borderId="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/>
    <xf numFmtId="0" fontId="0" fillId="0" borderId="0" xfId="0" applyProtection="1">
      <protection locked="0"/>
    </xf>
    <xf numFmtId="0" fontId="0" fillId="0" borderId="10" xfId="0" applyBorder="1" applyProtection="1">
      <protection locked="0"/>
    </xf>
    <xf numFmtId="0" fontId="18" fillId="0" borderId="0" xfId="0" applyFont="1" applyBorder="1" applyAlignment="1" applyProtection="1">
      <protection locked="0"/>
    </xf>
    <xf numFmtId="0" fontId="18" fillId="0" borderId="0" xfId="0" applyFont="1" applyBorder="1" applyAlignment="1" applyProtection="1">
      <alignment horizontal="left"/>
      <protection locked="0"/>
    </xf>
    <xf numFmtId="0" fontId="0" fillId="0" borderId="0" xfId="0" applyBorder="1" applyProtection="1"/>
    <xf numFmtId="0" fontId="0" fillId="0" borderId="15" xfId="0" applyBorder="1" applyProtection="1"/>
    <xf numFmtId="0" fontId="20" fillId="0" borderId="15" xfId="0" applyFont="1" applyBorder="1" applyAlignment="1" applyProtection="1">
      <alignment horizontal="right"/>
    </xf>
    <xf numFmtId="0" fontId="0" fillId="0" borderId="12" xfId="0" applyBorder="1" applyAlignment="1" applyProtection="1">
      <alignment horizontal="center"/>
    </xf>
    <xf numFmtId="0" fontId="16" fillId="0" borderId="17" xfId="0" applyFont="1" applyBorder="1" applyProtection="1"/>
    <xf numFmtId="0" fontId="16" fillId="0" borderId="17" xfId="0" applyFont="1" applyBorder="1" applyAlignment="1" applyProtection="1">
      <alignment horizontal="center"/>
    </xf>
    <xf numFmtId="0" fontId="16" fillId="0" borderId="0" xfId="0" applyFont="1" applyBorder="1" applyProtection="1"/>
    <xf numFmtId="0" fontId="16" fillId="0" borderId="15" xfId="0" applyFont="1" applyBorder="1" applyProtection="1"/>
    <xf numFmtId="0" fontId="16" fillId="0" borderId="18" xfId="0" applyFont="1" applyBorder="1" applyProtection="1"/>
    <xf numFmtId="0" fontId="16" fillId="0" borderId="19" xfId="0" applyFont="1" applyBorder="1" applyProtection="1"/>
    <xf numFmtId="0" fontId="16" fillId="0" borderId="19" xfId="0" applyFont="1" applyBorder="1" applyAlignment="1" applyProtection="1">
      <alignment horizontal="center"/>
    </xf>
    <xf numFmtId="0" fontId="16" fillId="0" borderId="15" xfId="0" applyFont="1" applyBorder="1" applyAlignment="1" applyProtection="1">
      <alignment horizontal="center"/>
    </xf>
    <xf numFmtId="0" fontId="16" fillId="0" borderId="15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2" fillId="33" borderId="10" xfId="0" applyFont="1" applyFill="1" applyBorder="1" applyProtection="1">
      <protection locked="0"/>
    </xf>
    <xf numFmtId="0" fontId="22" fillId="33" borderId="10" xfId="0" applyFont="1" applyFill="1" applyBorder="1" applyAlignment="1" applyProtection="1">
      <alignment vertical="center"/>
      <protection locked="0"/>
    </xf>
    <xf numFmtId="0" fontId="16" fillId="0" borderId="10" xfId="0" applyFont="1" applyBorder="1" applyAlignment="1" applyProtection="1">
      <alignment horizontal="center" vertical="center"/>
    </xf>
    <xf numFmtId="0" fontId="16" fillId="0" borderId="14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/>
    <xf numFmtId="0" fontId="19" fillId="0" borderId="23" xfId="0" applyFont="1" applyBorder="1" applyAlignment="1" applyProtection="1"/>
    <xf numFmtId="16" fontId="19" fillId="0" borderId="21" xfId="0" applyNumberFormat="1" applyFont="1" applyBorder="1" applyAlignment="1" applyProtection="1">
      <alignment horizontal="right"/>
    </xf>
    <xf numFmtId="0" fontId="18" fillId="0" borderId="25" xfId="0" applyFont="1" applyBorder="1" applyProtection="1"/>
    <xf numFmtId="0" fontId="16" fillId="0" borderId="26" xfId="0" applyFont="1" applyBorder="1" applyAlignment="1" applyProtection="1">
      <alignment horizontal="center" vertical="center"/>
    </xf>
    <xf numFmtId="0" fontId="16" fillId="0" borderId="25" xfId="0" applyFont="1" applyBorder="1" applyProtection="1"/>
    <xf numFmtId="0" fontId="0" fillId="0" borderId="27" xfId="0" applyBorder="1" applyProtection="1"/>
    <xf numFmtId="0" fontId="0" fillId="0" borderId="25" xfId="0" applyBorder="1" applyProtection="1"/>
    <xf numFmtId="0" fontId="0" fillId="0" borderId="31" xfId="0" applyBorder="1" applyProtection="1"/>
    <xf numFmtId="0" fontId="16" fillId="0" borderId="34" xfId="0" applyFont="1" applyBorder="1" applyProtection="1"/>
    <xf numFmtId="0" fontId="0" fillId="0" borderId="35" xfId="0" applyBorder="1" applyProtection="1"/>
    <xf numFmtId="0" fontId="0" fillId="0" borderId="36" xfId="0" applyBorder="1" applyProtection="1"/>
    <xf numFmtId="0" fontId="0" fillId="0" borderId="37" xfId="0" applyBorder="1" applyProtection="1"/>
    <xf numFmtId="0" fontId="0" fillId="0" borderId="37" xfId="0" applyBorder="1" applyAlignment="1" applyProtection="1">
      <alignment horizontal="center"/>
    </xf>
    <xf numFmtId="0" fontId="0" fillId="0" borderId="38" xfId="0" applyBorder="1" applyProtection="1"/>
    <xf numFmtId="0" fontId="0" fillId="0" borderId="39" xfId="0" applyBorder="1" applyProtection="1">
      <protection locked="0"/>
    </xf>
    <xf numFmtId="0" fontId="0" fillId="0" borderId="39" xfId="0" applyBorder="1" applyAlignment="1" applyProtection="1">
      <alignment horizontal="left" vertical="center" wrapText="1"/>
      <protection locked="0"/>
    </xf>
    <xf numFmtId="0" fontId="19" fillId="0" borderId="28" xfId="0" applyFont="1" applyBorder="1" applyAlignment="1" applyProtection="1"/>
    <xf numFmtId="0" fontId="19" fillId="0" borderId="16" xfId="0" applyFont="1" applyBorder="1" applyAlignment="1" applyProtection="1"/>
    <xf numFmtId="16" fontId="19" fillId="0" borderId="33" xfId="0" applyNumberFormat="1" applyFont="1" applyBorder="1" applyAlignment="1" applyProtection="1">
      <alignment horizontal="right"/>
    </xf>
    <xf numFmtId="0" fontId="0" fillId="0" borderId="43" xfId="0" applyBorder="1" applyProtection="1"/>
    <xf numFmtId="0" fontId="16" fillId="0" borderId="43" xfId="0" applyFont="1" applyBorder="1" applyProtection="1"/>
    <xf numFmtId="0" fontId="16" fillId="0" borderId="43" xfId="0" applyFont="1" applyBorder="1" applyAlignment="1" applyProtection="1">
      <alignment horizontal="center"/>
    </xf>
    <xf numFmtId="0" fontId="16" fillId="0" borderId="35" xfId="0" applyFont="1" applyBorder="1" applyProtection="1"/>
    <xf numFmtId="0" fontId="0" fillId="0" borderId="44" xfId="0" applyBorder="1" applyProtection="1"/>
    <xf numFmtId="0" fontId="0" fillId="0" borderId="45" xfId="0" applyBorder="1" applyAlignment="1" applyProtection="1">
      <alignment horizontal="left" vertical="center" wrapText="1"/>
      <protection locked="0"/>
    </xf>
    <xf numFmtId="0" fontId="22" fillId="33" borderId="12" xfId="0" applyFont="1" applyFill="1" applyBorder="1" applyAlignment="1" applyProtection="1">
      <alignment horizontal="right" vertical="center"/>
      <protection locked="0"/>
    </xf>
    <xf numFmtId="0" fontId="16" fillId="0" borderId="40" xfId="0" applyFont="1" applyBorder="1" applyProtection="1">
      <protection locked="0"/>
    </xf>
    <xf numFmtId="0" fontId="16" fillId="33" borderId="46" xfId="0" applyFont="1" applyFill="1" applyBorder="1" applyProtection="1">
      <protection locked="0"/>
    </xf>
    <xf numFmtId="0" fontId="16" fillId="0" borderId="20" xfId="0" applyFont="1" applyBorder="1" applyProtection="1"/>
    <xf numFmtId="0" fontId="0" fillId="0" borderId="26" xfId="0" applyBorder="1" applyProtection="1">
      <protection locked="0"/>
    </xf>
    <xf numFmtId="0" fontId="0" fillId="0" borderId="48" xfId="0" applyBorder="1" applyProtection="1">
      <protection locked="0"/>
    </xf>
    <xf numFmtId="0" fontId="16" fillId="0" borderId="49" xfId="0" applyFont="1" applyBorder="1" applyProtection="1"/>
    <xf numFmtId="0" fontId="22" fillId="33" borderId="50" xfId="0" applyFont="1" applyFill="1" applyBorder="1" applyProtection="1">
      <protection locked="0"/>
    </xf>
    <xf numFmtId="0" fontId="16" fillId="0" borderId="51" xfId="0" applyFont="1" applyBorder="1" applyProtection="1"/>
    <xf numFmtId="0" fontId="0" fillId="0" borderId="29" xfId="0" applyBorder="1" applyProtection="1">
      <protection locked="0"/>
    </xf>
    <xf numFmtId="0" fontId="0" fillId="0" borderId="47" xfId="0" applyBorder="1" applyProtection="1">
      <protection locked="0"/>
    </xf>
    <xf numFmtId="0" fontId="0" fillId="33" borderId="0" xfId="0" applyFill="1" applyProtection="1">
      <protection locked="0"/>
    </xf>
    <xf numFmtId="0" fontId="16" fillId="33" borderId="15" xfId="0" applyFont="1" applyFill="1" applyBorder="1" applyAlignment="1" applyProtection="1">
      <alignment horizontal="center"/>
    </xf>
    <xf numFmtId="0" fontId="16" fillId="33" borderId="17" xfId="0" applyFont="1" applyFill="1" applyBorder="1" applyAlignment="1" applyProtection="1">
      <alignment horizontal="right"/>
    </xf>
    <xf numFmtId="0" fontId="16" fillId="33" borderId="17" xfId="0" applyFont="1" applyFill="1" applyBorder="1" applyAlignment="1" applyProtection="1">
      <alignment horizontal="center"/>
    </xf>
    <xf numFmtId="0" fontId="16" fillId="0" borderId="36" xfId="0" applyFont="1" applyBorder="1" applyProtection="1"/>
    <xf numFmtId="0" fontId="0" fillId="0" borderId="39" xfId="0" applyFont="1" applyBorder="1" applyProtection="1"/>
    <xf numFmtId="0" fontId="0" fillId="0" borderId="22" xfId="0" applyFont="1" applyBorder="1" applyProtection="1"/>
    <xf numFmtId="0" fontId="16" fillId="0" borderId="40" xfId="0" applyFont="1" applyBorder="1" applyAlignment="1" applyProtection="1">
      <alignment vertical="center"/>
      <protection locked="0"/>
    </xf>
    <xf numFmtId="0" fontId="16" fillId="0" borderId="53" xfId="0" applyFont="1" applyBorder="1" applyProtection="1">
      <protection locked="0"/>
    </xf>
    <xf numFmtId="164" fontId="16" fillId="0" borderId="54" xfId="0" applyNumberFormat="1" applyFont="1" applyBorder="1"/>
    <xf numFmtId="0" fontId="16" fillId="0" borderId="46" xfId="0" applyFont="1" applyBorder="1"/>
    <xf numFmtId="0" fontId="0" fillId="33" borderId="0" xfId="0" quotePrefix="1" applyFill="1"/>
    <xf numFmtId="166" fontId="0" fillId="0" borderId="0" xfId="0" applyNumberFormat="1"/>
    <xf numFmtId="166" fontId="0" fillId="0" borderId="0" xfId="0" applyNumberFormat="1" applyProtection="1">
      <protection locked="0"/>
    </xf>
    <xf numFmtId="2" fontId="0" fillId="0" borderId="0" xfId="0" applyNumberFormat="1"/>
    <xf numFmtId="165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67" fontId="0" fillId="0" borderId="0" xfId="0" applyNumberFormat="1" applyFill="1" applyBorder="1" applyProtection="1">
      <protection locked="0"/>
    </xf>
    <xf numFmtId="167" fontId="0" fillId="0" borderId="46" xfId="0" applyNumberFormat="1" applyBorder="1" applyProtection="1">
      <protection locked="0"/>
    </xf>
    <xf numFmtId="1" fontId="0" fillId="0" borderId="0" xfId="0" applyNumberFormat="1"/>
    <xf numFmtId="2" fontId="0" fillId="33" borderId="0" xfId="0" applyNumberFormat="1" applyFill="1" applyBorder="1" applyProtection="1">
      <protection locked="0"/>
    </xf>
    <xf numFmtId="2" fontId="0" fillId="0" borderId="0" xfId="0" applyNumberFormat="1" applyBorder="1"/>
    <xf numFmtId="0" fontId="0" fillId="0" borderId="54" xfId="0" applyBorder="1"/>
    <xf numFmtId="0" fontId="21" fillId="0" borderId="0" xfId="0" applyFont="1" applyBorder="1" applyAlignment="1" applyProtection="1">
      <alignment horizontal="center" wrapText="1"/>
      <protection locked="0"/>
    </xf>
    <xf numFmtId="0" fontId="21" fillId="0" borderId="32" xfId="0" applyFont="1" applyBorder="1" applyAlignment="1" applyProtection="1">
      <alignment horizontal="center" wrapText="1"/>
      <protection locked="0"/>
    </xf>
    <xf numFmtId="0" fontId="19" fillId="0" borderId="40" xfId="0" applyFont="1" applyBorder="1" applyAlignment="1" applyProtection="1">
      <alignment horizontal="center"/>
      <protection locked="0"/>
    </xf>
    <xf numFmtId="0" fontId="19" fillId="0" borderId="41" xfId="0" applyFont="1" applyBorder="1" applyAlignment="1" applyProtection="1">
      <alignment horizontal="center"/>
      <protection locked="0"/>
    </xf>
    <xf numFmtId="0" fontId="19" fillId="0" borderId="42" xfId="0" applyFont="1" applyBorder="1" applyAlignment="1" applyProtection="1">
      <alignment horizontal="center"/>
      <protection locked="0"/>
    </xf>
    <xf numFmtId="0" fontId="22" fillId="33" borderId="13" xfId="0" applyFont="1" applyFill="1" applyBorder="1" applyAlignment="1" applyProtection="1">
      <alignment horizontal="center"/>
      <protection locked="0"/>
    </xf>
    <xf numFmtId="0" fontId="22" fillId="33" borderId="30" xfId="0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14" fontId="16" fillId="33" borderId="52" xfId="0" applyNumberFormat="1" applyFont="1" applyFill="1" applyBorder="1" applyAlignment="1" applyProtection="1">
      <alignment horizontal="center" vertical="center"/>
      <protection locked="0"/>
    </xf>
    <xf numFmtId="14" fontId="16" fillId="33" borderId="46" xfId="0" applyNumberFormat="1" applyFont="1" applyFill="1" applyBorder="1" applyAlignment="1" applyProtection="1">
      <alignment horizontal="center" vertical="center"/>
      <protection locked="0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7</xdr:row>
      <xdr:rowOff>200026</xdr:rowOff>
    </xdr:from>
    <xdr:to>
      <xdr:col>10</xdr:col>
      <xdr:colOff>354072</xdr:colOff>
      <xdr:row>36</xdr:row>
      <xdr:rowOff>114299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6425" y="1838326"/>
          <a:ext cx="5316597" cy="6143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K45"/>
  <sheetViews>
    <sheetView showGridLines="0" tabSelected="1" zoomScaleNormal="100" workbookViewId="0">
      <selection activeCell="E6" sqref="E6:F6"/>
    </sheetView>
  </sheetViews>
  <sheetFormatPr baseColWidth="10" defaultColWidth="11.42578125" defaultRowHeight="15" x14ac:dyDescent="0.25"/>
  <cols>
    <col min="1" max="1" width="25.42578125" style="4" customWidth="1"/>
    <col min="2" max="2" width="14.28515625" style="4" customWidth="1"/>
    <col min="3" max="3" width="5.7109375" style="4" customWidth="1"/>
    <col min="4" max="4" width="19" style="4" customWidth="1"/>
    <col min="5" max="5" width="10.7109375" style="4" bestFit="1" customWidth="1"/>
    <col min="6" max="6" width="9.5703125" style="4" customWidth="1"/>
    <col min="7" max="7" width="2.5703125" style="4" customWidth="1"/>
    <col min="8" max="8" width="39" style="4" customWidth="1"/>
    <col min="9" max="9" width="18" style="4" customWidth="1"/>
    <col min="10" max="10" width="17.7109375" style="4" customWidth="1"/>
    <col min="11" max="16384" width="11.42578125" style="4"/>
  </cols>
  <sheetData>
    <row r="1" spans="1:11" ht="21.75" thickBot="1" x14ac:dyDescent="0.4">
      <c r="A1" s="89" t="s">
        <v>32</v>
      </c>
      <c r="B1" s="90"/>
      <c r="C1" s="90"/>
      <c r="D1" s="90"/>
      <c r="E1" s="90"/>
      <c r="F1" s="91"/>
      <c r="H1" s="59" t="s">
        <v>62</v>
      </c>
      <c r="I1" s="60">
        <v>1000</v>
      </c>
    </row>
    <row r="2" spans="1:11" x14ac:dyDescent="0.25">
      <c r="A2" s="42" t="s">
        <v>56</v>
      </c>
      <c r="B2" s="23">
        <v>2000</v>
      </c>
      <c r="C2" s="1"/>
      <c r="D2" s="2"/>
      <c r="E2" s="94" t="s">
        <v>7</v>
      </c>
      <c r="F2" s="95"/>
      <c r="H2" s="56" t="s">
        <v>33</v>
      </c>
      <c r="I2" s="63">
        <f>IF(B6=0,0,B5)</f>
        <v>1</v>
      </c>
    </row>
    <row r="3" spans="1:11" x14ac:dyDescent="0.25">
      <c r="A3" s="42" t="s">
        <v>55</v>
      </c>
      <c r="B3" s="23">
        <v>830</v>
      </c>
      <c r="C3" s="1"/>
      <c r="D3" s="5" t="s">
        <v>34</v>
      </c>
      <c r="E3" s="92" t="s">
        <v>51</v>
      </c>
      <c r="F3" s="93"/>
      <c r="H3" s="69" t="s">
        <v>63</v>
      </c>
      <c r="I3" s="57">
        <f>IF(B6=0,0,B2-I1-115)</f>
        <v>885</v>
      </c>
    </row>
    <row r="4" spans="1:11" ht="15.75" thickBot="1" x14ac:dyDescent="0.3">
      <c r="A4" s="42" t="s">
        <v>71</v>
      </c>
      <c r="B4" s="23">
        <v>2000</v>
      </c>
      <c r="C4" s="1"/>
      <c r="D4" s="5" t="s">
        <v>33</v>
      </c>
      <c r="E4" s="92" t="s">
        <v>29</v>
      </c>
      <c r="F4" s="93"/>
      <c r="H4" s="70" t="s">
        <v>64</v>
      </c>
      <c r="I4" s="58">
        <f>IF(B6=0,0,D14)</f>
        <v>768</v>
      </c>
    </row>
    <row r="5" spans="1:11" x14ac:dyDescent="0.25">
      <c r="A5" s="42" t="s">
        <v>16</v>
      </c>
      <c r="B5" s="23">
        <v>1</v>
      </c>
      <c r="C5" s="1"/>
      <c r="D5" s="5" t="s">
        <v>2</v>
      </c>
      <c r="E5" s="92" t="s">
        <v>30</v>
      </c>
      <c r="F5" s="93"/>
      <c r="H5" s="61" t="s">
        <v>34</v>
      </c>
      <c r="I5" s="62">
        <f>IF(B6=0,0,B5)</f>
        <v>1</v>
      </c>
    </row>
    <row r="6" spans="1:11" x14ac:dyDescent="0.25">
      <c r="A6" s="43" t="s">
        <v>54</v>
      </c>
      <c r="B6" s="24">
        <v>1</v>
      </c>
      <c r="C6" s="1"/>
      <c r="D6" s="5" t="s">
        <v>20</v>
      </c>
      <c r="E6" s="92" t="s">
        <v>57</v>
      </c>
      <c r="F6" s="93"/>
      <c r="H6" s="69" t="s">
        <v>65</v>
      </c>
      <c r="I6" s="57">
        <f>IF(B6=0,0,I1-46)</f>
        <v>954</v>
      </c>
      <c r="J6" s="1"/>
      <c r="K6" s="1"/>
    </row>
    <row r="7" spans="1:11" ht="15.75" thickBot="1" x14ac:dyDescent="0.3">
      <c r="A7" s="52" t="s">
        <v>5</v>
      </c>
      <c r="B7" s="53"/>
      <c r="C7" s="1"/>
      <c r="D7" s="5" t="s">
        <v>19</v>
      </c>
      <c r="E7" s="92" t="s">
        <v>17</v>
      </c>
      <c r="F7" s="93"/>
      <c r="H7" s="70" t="s">
        <v>66</v>
      </c>
      <c r="I7" s="58">
        <f>IF(B6=0,0,D14)</f>
        <v>768</v>
      </c>
      <c r="J7" s="1"/>
      <c r="K7" s="1"/>
    </row>
    <row r="8" spans="1:11" ht="30" customHeight="1" thickBot="1" x14ac:dyDescent="0.3">
      <c r="A8" s="54" t="s">
        <v>31</v>
      </c>
      <c r="B8" s="55"/>
      <c r="C8" s="1"/>
      <c r="D8" s="71" t="s">
        <v>11</v>
      </c>
      <c r="E8" s="96">
        <v>43127</v>
      </c>
      <c r="F8" s="97"/>
    </row>
    <row r="9" spans="1:11" ht="22.5" customHeight="1" thickBot="1" x14ac:dyDescent="0.3">
      <c r="A9" s="54" t="s">
        <v>12</v>
      </c>
      <c r="B9" s="55"/>
      <c r="C9" s="1"/>
      <c r="D9" s="1"/>
      <c r="E9" s="87" t="s">
        <v>69</v>
      </c>
      <c r="F9" s="88"/>
    </row>
    <row r="10" spans="1:11" ht="21" x14ac:dyDescent="0.35">
      <c r="A10" s="27" t="s">
        <v>61</v>
      </c>
      <c r="B10" s="28"/>
      <c r="C10" s="28"/>
      <c r="D10" s="28"/>
      <c r="E10" s="28"/>
      <c r="F10" s="29"/>
    </row>
    <row r="11" spans="1:11" ht="23.25" x14ac:dyDescent="0.35">
      <c r="A11" s="30"/>
      <c r="B11" s="8"/>
      <c r="C11" s="8"/>
      <c r="D11" s="25" t="s">
        <v>18</v>
      </c>
      <c r="E11" s="26" t="s">
        <v>0</v>
      </c>
      <c r="F11" s="31" t="s">
        <v>3</v>
      </c>
    </row>
    <row r="12" spans="1:11" x14ac:dyDescent="0.25">
      <c r="A12" s="32" t="s">
        <v>67</v>
      </c>
      <c r="B12" s="14"/>
      <c r="C12" s="14"/>
      <c r="D12" s="12">
        <f>ROUNDDOWN(((B2-60-92)-(10*B6))/(B6+1), 0)</f>
        <v>919</v>
      </c>
      <c r="E12" s="13"/>
      <c r="F12" s="33"/>
    </row>
    <row r="13" spans="1:11" x14ac:dyDescent="0.25">
      <c r="A13" s="32"/>
      <c r="B13" s="14"/>
      <c r="C13" s="14"/>
      <c r="D13" s="12"/>
      <c r="E13" s="13">
        <f>(B6+1)*B5</f>
        <v>2</v>
      </c>
      <c r="F13" s="33"/>
      <c r="G13" s="4" t="s">
        <v>6</v>
      </c>
    </row>
    <row r="14" spans="1:11" x14ac:dyDescent="0.25">
      <c r="A14" s="32" t="s">
        <v>68</v>
      </c>
      <c r="B14" s="14"/>
      <c r="C14" s="14"/>
      <c r="D14" s="12">
        <f>B3-62</f>
        <v>768</v>
      </c>
      <c r="E14" s="13"/>
      <c r="F14" s="33"/>
    </row>
    <row r="15" spans="1:11" ht="15" customHeight="1" thickBot="1" x14ac:dyDescent="0.3">
      <c r="A15" s="37"/>
      <c r="B15" s="38"/>
      <c r="C15" s="38"/>
      <c r="D15" s="47"/>
      <c r="E15" s="47"/>
      <c r="F15" s="41"/>
    </row>
    <row r="16" spans="1:11" ht="21" x14ac:dyDescent="0.35">
      <c r="A16" s="27" t="s">
        <v>1</v>
      </c>
      <c r="B16" s="28"/>
      <c r="C16" s="28"/>
      <c r="D16" s="28"/>
      <c r="E16" s="28"/>
      <c r="F16" s="29" t="str">
        <f>E5</f>
        <v>NOIR GRANITE</v>
      </c>
    </row>
    <row r="17" spans="1:11" x14ac:dyDescent="0.25">
      <c r="A17" s="34"/>
      <c r="B17" s="8"/>
      <c r="C17" s="8"/>
      <c r="D17" s="3"/>
      <c r="E17" s="11"/>
      <c r="F17" s="35"/>
    </row>
    <row r="18" spans="1:11" ht="15" customHeight="1" x14ac:dyDescent="0.25">
      <c r="A18" s="32" t="s">
        <v>15</v>
      </c>
      <c r="B18" s="8"/>
      <c r="C18" s="8"/>
      <c r="D18" s="12">
        <f>B4</f>
        <v>2000</v>
      </c>
      <c r="E18" s="13">
        <f>IF(D18&gt;0,1,0)</f>
        <v>1</v>
      </c>
      <c r="F18" s="33"/>
    </row>
    <row r="19" spans="1:11" x14ac:dyDescent="0.25">
      <c r="A19" s="32" t="s">
        <v>21</v>
      </c>
      <c r="B19" s="14"/>
      <c r="C19" s="14"/>
      <c r="D19" s="12">
        <f>B2-60</f>
        <v>1940</v>
      </c>
      <c r="E19" s="13">
        <f>B5*2</f>
        <v>2</v>
      </c>
      <c r="F19" s="33"/>
    </row>
    <row r="20" spans="1:11" x14ac:dyDescent="0.25">
      <c r="A20" s="32" t="s">
        <v>27</v>
      </c>
      <c r="B20" s="14"/>
      <c r="C20" s="14"/>
      <c r="D20" s="12">
        <f>B3-77</f>
        <v>753</v>
      </c>
      <c r="E20" s="13">
        <f>B5*2</f>
        <v>2</v>
      </c>
      <c r="F20" s="33"/>
    </row>
    <row r="21" spans="1:11" x14ac:dyDescent="0.25">
      <c r="A21" s="32" t="s">
        <v>26</v>
      </c>
      <c r="B21" s="14"/>
      <c r="C21" s="14"/>
      <c r="D21" s="12">
        <f>IF(B6&gt;=1,D20,0)</f>
        <v>753</v>
      </c>
      <c r="E21" s="13">
        <f>B6*B5</f>
        <v>1</v>
      </c>
      <c r="F21" s="33"/>
    </row>
    <row r="22" spans="1:11" x14ac:dyDescent="0.25">
      <c r="A22" s="32" t="s">
        <v>58</v>
      </c>
      <c r="B22" s="14"/>
      <c r="C22" s="14"/>
      <c r="D22" s="66"/>
      <c r="E22" s="67"/>
      <c r="F22" s="33"/>
    </row>
    <row r="23" spans="1:11" ht="15" customHeight="1" thickBot="1" x14ac:dyDescent="0.3">
      <c r="A23" s="37"/>
      <c r="B23" s="38"/>
      <c r="C23" s="38"/>
      <c r="D23" s="47"/>
      <c r="E23" s="47"/>
      <c r="F23" s="41"/>
    </row>
    <row r="24" spans="1:11" ht="21" x14ac:dyDescent="0.35">
      <c r="A24" s="27" t="s">
        <v>9</v>
      </c>
      <c r="B24" s="28"/>
      <c r="C24" s="28"/>
      <c r="D24" s="28"/>
      <c r="E24" s="28"/>
      <c r="F24" s="29"/>
    </row>
    <row r="25" spans="1:11" x14ac:dyDescent="0.25">
      <c r="A25" s="34"/>
      <c r="B25" s="14"/>
      <c r="C25" s="14"/>
      <c r="D25" s="3"/>
      <c r="E25" s="11"/>
      <c r="F25" s="35"/>
      <c r="H25" s="21"/>
      <c r="I25" s="21"/>
      <c r="J25" s="21"/>
      <c r="K25" s="1"/>
    </row>
    <row r="26" spans="1:11" x14ac:dyDescent="0.25">
      <c r="A26" s="32" t="s">
        <v>25</v>
      </c>
      <c r="B26" s="14" t="str">
        <f>E6</f>
        <v>TRANSPARENT</v>
      </c>
      <c r="C26" s="14"/>
      <c r="D26" s="12">
        <f>D20</f>
        <v>753</v>
      </c>
      <c r="E26" s="13">
        <f>E20+E21*2</f>
        <v>4</v>
      </c>
      <c r="F26" s="33"/>
      <c r="H26" s="1"/>
      <c r="I26" s="1"/>
      <c r="J26" s="1"/>
      <c r="K26" s="1"/>
    </row>
    <row r="27" spans="1:11" x14ac:dyDescent="0.25">
      <c r="A27" s="32" t="s">
        <v>25</v>
      </c>
      <c r="B27" s="14" t="str">
        <f>E6</f>
        <v>TRANSPARENT</v>
      </c>
      <c r="C27" s="14"/>
      <c r="D27" s="12">
        <f>D19-70</f>
        <v>1870</v>
      </c>
      <c r="E27" s="13">
        <f>E19</f>
        <v>2</v>
      </c>
      <c r="F27" s="33"/>
      <c r="H27" s="1"/>
      <c r="I27" s="1"/>
      <c r="J27" s="1"/>
      <c r="K27" s="1"/>
    </row>
    <row r="28" spans="1:11" ht="15.75" thickBot="1" x14ac:dyDescent="0.3">
      <c r="A28" s="50" t="s">
        <v>10</v>
      </c>
      <c r="B28" s="68" t="str">
        <f>E7</f>
        <v>NOIR</v>
      </c>
      <c r="C28" s="68"/>
      <c r="D28" s="48">
        <f>ROUNDUP(D19*1.1,0)</f>
        <v>2134</v>
      </c>
      <c r="E28" s="49">
        <f>E19</f>
        <v>2</v>
      </c>
      <c r="F28" s="51"/>
      <c r="H28" s="1"/>
      <c r="I28" s="1"/>
      <c r="J28" s="1"/>
      <c r="K28" s="1"/>
    </row>
    <row r="29" spans="1:11" ht="21" x14ac:dyDescent="0.35">
      <c r="A29" s="44" t="s">
        <v>4</v>
      </c>
      <c r="B29" s="45"/>
      <c r="C29" s="45"/>
      <c r="D29" s="45"/>
      <c r="E29" s="45"/>
      <c r="F29" s="46"/>
      <c r="H29" s="1"/>
      <c r="I29" s="22"/>
      <c r="J29" s="22"/>
      <c r="K29" s="1"/>
    </row>
    <row r="30" spans="1:11" ht="15" customHeight="1" x14ac:dyDescent="0.35">
      <c r="A30" s="36" t="s">
        <v>28</v>
      </c>
      <c r="B30" s="16"/>
      <c r="C30" s="16"/>
      <c r="D30" s="17"/>
      <c r="E30" s="18">
        <f>B5*2</f>
        <v>2</v>
      </c>
      <c r="F30" s="35"/>
      <c r="H30" s="6"/>
      <c r="I30" s="6"/>
      <c r="J30" s="6"/>
      <c r="K30" s="1"/>
    </row>
    <row r="31" spans="1:11" ht="15" customHeight="1" x14ac:dyDescent="0.35">
      <c r="A31" s="32" t="s">
        <v>8</v>
      </c>
      <c r="B31" s="14"/>
      <c r="C31" s="14"/>
      <c r="D31" s="15"/>
      <c r="E31" s="19">
        <f>B5</f>
        <v>1</v>
      </c>
      <c r="F31" s="33"/>
      <c r="H31" s="7"/>
      <c r="I31" s="7"/>
      <c r="J31" s="7"/>
      <c r="K31" s="1"/>
    </row>
    <row r="32" spans="1:11" x14ac:dyDescent="0.25">
      <c r="A32" s="32" t="s">
        <v>22</v>
      </c>
      <c r="B32" s="14"/>
      <c r="C32" s="14"/>
      <c r="D32" s="15"/>
      <c r="E32" s="19">
        <f>E19*2</f>
        <v>4</v>
      </c>
      <c r="F32" s="33"/>
      <c r="H32" s="1"/>
      <c r="I32" s="1"/>
      <c r="J32" s="1"/>
      <c r="K32" s="1"/>
    </row>
    <row r="33" spans="1:11" x14ac:dyDescent="0.25">
      <c r="A33" s="32" t="s">
        <v>23</v>
      </c>
      <c r="B33" s="14"/>
      <c r="C33" s="14"/>
      <c r="D33" s="10"/>
      <c r="E33" s="20">
        <f>IF(B7="SIMPLE 40 KG",2*B5,0)</f>
        <v>0</v>
      </c>
      <c r="F33" s="33"/>
      <c r="H33" s="1"/>
      <c r="I33" s="1"/>
      <c r="J33" s="1"/>
      <c r="K33" s="1"/>
    </row>
    <row r="34" spans="1:11" x14ac:dyDescent="0.25">
      <c r="A34" s="32" t="s">
        <v>24</v>
      </c>
      <c r="B34" s="14"/>
      <c r="C34" s="14"/>
      <c r="D34" s="10"/>
      <c r="E34" s="20">
        <f>IF(B7="DOUBLE 30 KG",1*B5,0)</f>
        <v>0</v>
      </c>
      <c r="F34" s="33"/>
      <c r="H34" s="1"/>
      <c r="I34" s="1"/>
      <c r="J34" s="1"/>
      <c r="K34" s="1"/>
    </row>
    <row r="35" spans="1:11" x14ac:dyDescent="0.25">
      <c r="A35" s="32" t="s">
        <v>13</v>
      </c>
      <c r="B35" s="14"/>
      <c r="C35" s="14"/>
      <c r="D35" s="15"/>
      <c r="E35" s="65">
        <v>0</v>
      </c>
      <c r="F35" s="33"/>
      <c r="H35" s="1"/>
      <c r="I35" s="1"/>
      <c r="J35" s="1"/>
      <c r="K35" s="1"/>
    </row>
    <row r="36" spans="1:11" x14ac:dyDescent="0.25">
      <c r="A36" s="32" t="s">
        <v>14</v>
      </c>
      <c r="B36" s="8"/>
      <c r="C36" s="8"/>
      <c r="D36" s="9"/>
      <c r="E36" s="65">
        <v>0</v>
      </c>
      <c r="F36" s="33"/>
      <c r="H36" s="1"/>
      <c r="I36" s="1"/>
      <c r="J36" s="1"/>
      <c r="K36" s="1"/>
    </row>
    <row r="37" spans="1:11" ht="15.75" thickBot="1" x14ac:dyDescent="0.3">
      <c r="A37" s="37"/>
      <c r="B37" s="38"/>
      <c r="C37" s="38"/>
      <c r="D37" s="39"/>
      <c r="E37" s="40"/>
      <c r="F37" s="41"/>
      <c r="H37" s="1"/>
      <c r="I37" s="1"/>
      <c r="J37" s="1"/>
      <c r="K37" s="1"/>
    </row>
    <row r="38" spans="1:11" x14ac:dyDescent="0.25">
      <c r="H38" s="1"/>
      <c r="I38" s="1"/>
      <c r="J38" s="1"/>
      <c r="K38" s="1"/>
    </row>
    <row r="39" spans="1:11" x14ac:dyDescent="0.25">
      <c r="A39" s="4" t="s">
        <v>70</v>
      </c>
      <c r="H39" s="1"/>
      <c r="I39" s="1"/>
      <c r="J39" s="1"/>
      <c r="K39" s="1"/>
    </row>
    <row r="40" spans="1:11" x14ac:dyDescent="0.25">
      <c r="H40" s="1"/>
      <c r="I40" s="1"/>
      <c r="J40" s="1"/>
      <c r="K40" s="1"/>
    </row>
    <row r="41" spans="1:11" x14ac:dyDescent="0.25">
      <c r="A41" s="4" t="s">
        <v>60</v>
      </c>
      <c r="H41" s="1"/>
      <c r="I41" s="1"/>
      <c r="J41" s="1"/>
      <c r="K41" s="1"/>
    </row>
    <row r="42" spans="1:11" x14ac:dyDescent="0.25">
      <c r="A42" s="4" t="s">
        <v>53</v>
      </c>
      <c r="H42" s="1"/>
      <c r="I42" s="1"/>
      <c r="J42" s="1"/>
      <c r="K42" s="1"/>
    </row>
    <row r="43" spans="1:11" x14ac:dyDescent="0.25">
      <c r="H43" s="1"/>
      <c r="I43" s="1"/>
      <c r="J43" s="1"/>
      <c r="K43" s="1"/>
    </row>
    <row r="44" spans="1:11" x14ac:dyDescent="0.25">
      <c r="A44" s="4" t="s">
        <v>59</v>
      </c>
    </row>
    <row r="45" spans="1:11" x14ac:dyDescent="0.25">
      <c r="A45" s="4" t="s">
        <v>52</v>
      </c>
    </row>
  </sheetData>
  <mergeCells count="9">
    <mergeCell ref="E9:F9"/>
    <mergeCell ref="A1:F1"/>
    <mergeCell ref="E5:F5"/>
    <mergeCell ref="E3:F3"/>
    <mergeCell ref="E7:F7"/>
    <mergeCell ref="E2:F2"/>
    <mergeCell ref="E6:F6"/>
    <mergeCell ref="E4:F4"/>
    <mergeCell ref="E8:F8"/>
  </mergeCells>
  <dataValidations count="7">
    <dataValidation type="list" allowBlank="1" showInputMessage="1" showErrorMessage="1" sqref="B5">
      <formula1>"1 , 2 "</formula1>
    </dataValidation>
    <dataValidation type="list" allowBlank="1" showInputMessage="1" showErrorMessage="1" sqref="B7">
      <formula1>" - ,DOUBLE 30 KG,SIMPLE 40 KG"</formula1>
    </dataValidation>
    <dataValidation type="list" allowBlank="1" showInputMessage="1" showErrorMessage="1" sqref="B6">
      <formula1>"0,1"</formula1>
    </dataValidation>
    <dataValidation type="list" allowBlank="1" showInputMessage="1" showErrorMessage="1" sqref="E3:F4">
      <formula1>"Remplissage 6 mm,Remplissage 33/2,Remplissage 8mm"</formula1>
    </dataValidation>
    <dataValidation type="list" allowBlank="1" showInputMessage="1" showErrorMessage="1" sqref="E5:F5">
      <formula1>"NOIR GRANITE,BLANC GRANITE"</formula1>
    </dataValidation>
    <dataValidation type="list" allowBlank="1" showInputMessage="1" showErrorMessage="1" sqref="E6:F6">
      <formula1>"NOIR,TRANSPARENT"</formula1>
    </dataValidation>
    <dataValidation type="list" allowBlank="1" showInputMessage="1" showErrorMessage="1" sqref="E7:F7">
      <formula1>"NOIR,GRIS"</formula1>
    </dataValidation>
  </dataValidations>
  <printOptions horizontalCentered="1"/>
  <pageMargins left="0.74803149606299213" right="0.74803149606299213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C18" sqref="C18"/>
    </sheetView>
  </sheetViews>
  <sheetFormatPr baseColWidth="10" defaultRowHeight="15" x14ac:dyDescent="0.25"/>
  <cols>
    <col min="1" max="1" width="35.7109375" customWidth="1"/>
    <col min="2" max="2" width="21.28515625" customWidth="1"/>
    <col min="3" max="3" width="20.7109375" customWidth="1"/>
    <col min="4" max="4" width="8.7109375" customWidth="1"/>
    <col min="5" max="5" width="14.140625" customWidth="1"/>
    <col min="6" max="6" width="8.5703125" customWidth="1"/>
    <col min="7" max="7" width="18.42578125" customWidth="1"/>
    <col min="8" max="8" width="0" hidden="1" customWidth="1"/>
    <col min="9" max="9" width="13" hidden="1" customWidth="1"/>
    <col min="10" max="10" width="4.28515625" hidden="1" customWidth="1"/>
    <col min="11" max="11" width="5.28515625" hidden="1" customWidth="1"/>
    <col min="12" max="12" width="11.42578125" hidden="1" customWidth="1"/>
    <col min="13" max="13" width="22.7109375" hidden="1" customWidth="1"/>
    <col min="14" max="14" width="11.42578125" hidden="1" customWidth="1"/>
    <col min="15" max="17" width="0" hidden="1" customWidth="1"/>
  </cols>
  <sheetData>
    <row r="1" spans="1:14" x14ac:dyDescent="0.25">
      <c r="A1" s="4"/>
      <c r="B1" s="4" t="s">
        <v>36</v>
      </c>
      <c r="C1" t="s">
        <v>39</v>
      </c>
      <c r="E1" s="1" t="s">
        <v>86</v>
      </c>
      <c r="F1" s="4"/>
      <c r="G1" s="1" t="s">
        <v>76</v>
      </c>
      <c r="I1" s="4" t="s">
        <v>88</v>
      </c>
      <c r="L1" s="4" t="s">
        <v>48</v>
      </c>
      <c r="N1" s="4" t="s">
        <v>35</v>
      </c>
    </row>
    <row r="2" spans="1:14" x14ac:dyDescent="0.25">
      <c r="A2" s="4" t="s">
        <v>74</v>
      </c>
      <c r="B2" s="64" t="s">
        <v>37</v>
      </c>
      <c r="C2" s="75">
        <v>6</v>
      </c>
      <c r="D2" t="s">
        <v>44</v>
      </c>
      <c r="E2" s="84"/>
      <c r="F2" s="76" t="s">
        <v>77</v>
      </c>
      <c r="G2" s="81">
        <f>I2*E2</f>
        <v>0</v>
      </c>
      <c r="I2" s="79">
        <f>('DEBITS P810-820-S-40KG'!I3*'DEBITS P810-820-S-40KG'!I4)/1000000</f>
        <v>0.67967999999999995</v>
      </c>
      <c r="J2" t="s">
        <v>87</v>
      </c>
      <c r="L2">
        <v>0.7</v>
      </c>
      <c r="M2" t="s">
        <v>50</v>
      </c>
      <c r="N2" s="76">
        <f>IF(B2="VERRE",C2*I2*L3,C2*I2*L2)</f>
        <v>10.1952</v>
      </c>
    </row>
    <row r="3" spans="1:14" x14ac:dyDescent="0.25">
      <c r="A3" s="4" t="s">
        <v>73</v>
      </c>
      <c r="B3" s="64" t="s">
        <v>38</v>
      </c>
      <c r="C3" s="75">
        <v>8</v>
      </c>
      <c r="D3" t="s">
        <v>44</v>
      </c>
      <c r="E3" s="84"/>
      <c r="F3" s="76" t="s">
        <v>77</v>
      </c>
      <c r="G3" s="81">
        <f>I3*E3</f>
        <v>0</v>
      </c>
      <c r="I3" s="79">
        <f>('DEBITS P810-820-S-40KG'!I6*'DEBITS P810-820-S-40KG'!I7)/1000000</f>
        <v>0.73267199999999999</v>
      </c>
      <c r="J3" t="s">
        <v>87</v>
      </c>
      <c r="L3">
        <v>2.5</v>
      </c>
      <c r="M3" t="s">
        <v>49</v>
      </c>
      <c r="N3" s="76">
        <f>IF(B3="VERRE",C3*I3*L3,C3*I3*L2)</f>
        <v>4.1029631999999996</v>
      </c>
    </row>
    <row r="4" spans="1:14" x14ac:dyDescent="0.25">
      <c r="E4" s="85"/>
      <c r="G4" s="81"/>
    </row>
    <row r="5" spans="1:14" x14ac:dyDescent="0.25">
      <c r="A5" s="4" t="s">
        <v>72</v>
      </c>
      <c r="B5" s="64" t="s">
        <v>38</v>
      </c>
      <c r="C5" s="75">
        <v>6</v>
      </c>
      <c r="D5" t="s">
        <v>44</v>
      </c>
      <c r="E5" s="84"/>
      <c r="F5" s="76" t="s">
        <v>77</v>
      </c>
      <c r="G5" s="81">
        <f>I5*E5</f>
        <v>0</v>
      </c>
      <c r="I5" s="79">
        <f>IF('DEBITS P810-820-S-40KG'!B6=0,('DEBITS P810-820-S-40KG'!D12*'DEBITS P810-820-S-40KG'!D14)/1000000,0)</f>
        <v>0</v>
      </c>
      <c r="J5" t="s">
        <v>87</v>
      </c>
      <c r="N5" s="76">
        <f>IF('DEBITS P810-820-S-40KG'!B6=0,IF(B5="VERRE",C5*I5*L3,C5*I5*L2),0)</f>
        <v>0</v>
      </c>
    </row>
    <row r="6" spans="1:14" x14ac:dyDescent="0.25">
      <c r="E6" s="85"/>
      <c r="G6" s="81"/>
    </row>
    <row r="7" spans="1:14" x14ac:dyDescent="0.25">
      <c r="A7" s="4" t="s">
        <v>81</v>
      </c>
      <c r="E7" s="84"/>
      <c r="F7" s="76" t="s">
        <v>78</v>
      </c>
      <c r="G7" s="81">
        <f>I7*E7</f>
        <v>0</v>
      </c>
      <c r="I7" s="80">
        <f>'DEBITS P810-820-S-40KG'!D18/1000</f>
        <v>2</v>
      </c>
      <c r="J7" t="s">
        <v>47</v>
      </c>
      <c r="N7" s="76"/>
    </row>
    <row r="8" spans="1:14" x14ac:dyDescent="0.25">
      <c r="A8" s="4" t="s">
        <v>40</v>
      </c>
      <c r="E8" s="84"/>
      <c r="F8" s="76" t="s">
        <v>78</v>
      </c>
      <c r="G8" s="81">
        <f>I8*E8</f>
        <v>0</v>
      </c>
      <c r="I8" s="80">
        <f>('DEBITS P810-820-S-40KG'!E19*'DEBITS P810-820-S-40KG'!D19)/1000</f>
        <v>3.88</v>
      </c>
      <c r="J8" t="s">
        <v>47</v>
      </c>
      <c r="L8" s="77">
        <f>0.822*1.1</f>
        <v>0.9042</v>
      </c>
      <c r="M8" t="s">
        <v>46</v>
      </c>
      <c r="N8" s="76">
        <f>L8*I8</f>
        <v>3.5082960000000001</v>
      </c>
    </row>
    <row r="9" spans="1:14" x14ac:dyDescent="0.25">
      <c r="A9" s="4" t="s">
        <v>75</v>
      </c>
      <c r="E9" s="84"/>
      <c r="F9" s="76" t="s">
        <v>78</v>
      </c>
      <c r="G9" s="81">
        <f>I9*E9</f>
        <v>0</v>
      </c>
      <c r="I9" s="80">
        <f>('DEBITS P810-820-S-40KG'!E21*'DEBITS P810-820-S-40KG'!D21)/1000</f>
        <v>0.753</v>
      </c>
      <c r="J9" t="s">
        <v>47</v>
      </c>
      <c r="L9">
        <v>0.44500000000000001</v>
      </c>
      <c r="M9" t="s">
        <v>46</v>
      </c>
      <c r="N9" s="76">
        <f>L9*I9</f>
        <v>0.33508500000000002</v>
      </c>
    </row>
    <row r="10" spans="1:14" x14ac:dyDescent="0.25">
      <c r="A10" s="4" t="s">
        <v>41</v>
      </c>
      <c r="E10" s="84"/>
      <c r="F10" s="76" t="s">
        <v>78</v>
      </c>
      <c r="G10" s="81">
        <f>I10*E10</f>
        <v>0</v>
      </c>
      <c r="I10" s="80">
        <f>('DEBITS P810-820-S-40KG'!E20*'DEBITS P810-820-S-40KG'!D20)/1000</f>
        <v>1.506</v>
      </c>
      <c r="J10" t="s">
        <v>47</v>
      </c>
      <c r="L10" s="77">
        <f>0.602*1.1</f>
        <v>0.66220000000000001</v>
      </c>
      <c r="M10" t="s">
        <v>46</v>
      </c>
      <c r="N10" s="76">
        <f>L10*I10</f>
        <v>0.99727319999999997</v>
      </c>
    </row>
    <row r="11" spans="1:14" x14ac:dyDescent="0.25">
      <c r="G11" s="81"/>
    </row>
    <row r="12" spans="1:14" x14ac:dyDescent="0.25">
      <c r="A12" s="4" t="s">
        <v>28</v>
      </c>
      <c r="E12" s="84"/>
      <c r="F12" s="76" t="s">
        <v>82</v>
      </c>
      <c r="G12" s="81">
        <f t="shared" ref="G12:G18" si="0">I12*E12</f>
        <v>0</v>
      </c>
      <c r="I12" s="83">
        <f>'DEBITS P810-820-S-40KG'!E30</f>
        <v>2</v>
      </c>
      <c r="J12" t="s">
        <v>79</v>
      </c>
      <c r="L12" s="78">
        <f>0.205*1.1</f>
        <v>0.22550000000000001</v>
      </c>
      <c r="N12" s="76">
        <f>L12*I12</f>
        <v>0.45100000000000001</v>
      </c>
    </row>
    <row r="13" spans="1:14" x14ac:dyDescent="0.25">
      <c r="A13" s="4" t="s">
        <v>85</v>
      </c>
      <c r="E13" s="84"/>
      <c r="F13" s="76" t="s">
        <v>82</v>
      </c>
      <c r="G13" s="81">
        <f t="shared" si="0"/>
        <v>0</v>
      </c>
      <c r="I13" s="83">
        <f>'DEBITS P810-820-S-40KG'!E35</f>
        <v>0</v>
      </c>
      <c r="J13" t="s">
        <v>79</v>
      </c>
      <c r="L13" s="78"/>
      <c r="N13" s="76"/>
    </row>
    <row r="14" spans="1:14" x14ac:dyDescent="0.25">
      <c r="A14" s="4" t="s">
        <v>83</v>
      </c>
      <c r="E14" s="84"/>
      <c r="F14" s="76" t="s">
        <v>82</v>
      </c>
      <c r="G14" s="81">
        <f t="shared" si="0"/>
        <v>0</v>
      </c>
      <c r="I14" s="83">
        <f>'DEBITS P810-820-S-40KG'!E36</f>
        <v>0</v>
      </c>
      <c r="J14" t="s">
        <v>79</v>
      </c>
      <c r="L14" s="78"/>
      <c r="N14" s="76"/>
    </row>
    <row r="15" spans="1:14" x14ac:dyDescent="0.25">
      <c r="A15" s="4" t="s">
        <v>84</v>
      </c>
      <c r="E15" s="84"/>
      <c r="F15" s="76" t="s">
        <v>82</v>
      </c>
      <c r="G15" s="81">
        <f t="shared" si="0"/>
        <v>0</v>
      </c>
      <c r="I15" s="83">
        <f>'DEBITS P810-820-S-40KG'!E31</f>
        <v>1</v>
      </c>
      <c r="J15" t="s">
        <v>79</v>
      </c>
      <c r="L15" s="78"/>
      <c r="N15" s="76"/>
    </row>
    <row r="16" spans="1:14" x14ac:dyDescent="0.25">
      <c r="A16" s="4" t="s">
        <v>10</v>
      </c>
      <c r="E16" s="84"/>
      <c r="F16" s="76" t="s">
        <v>78</v>
      </c>
      <c r="G16" s="81">
        <f t="shared" si="0"/>
        <v>0</v>
      </c>
      <c r="I16" s="78">
        <f>('DEBITS P810-820-S-40KG'!D28*'DEBITS P810-820-S-40KG'!E28)/1000</f>
        <v>4.2679999999999998</v>
      </c>
      <c r="J16" t="s">
        <v>47</v>
      </c>
      <c r="L16" s="78">
        <f>0.03*1.1</f>
        <v>3.3000000000000002E-2</v>
      </c>
      <c r="N16" s="76">
        <f>L16*I16</f>
        <v>0.140844</v>
      </c>
    </row>
    <row r="17" spans="1:14" x14ac:dyDescent="0.25">
      <c r="A17" s="4" t="s">
        <v>25</v>
      </c>
      <c r="E17" s="84"/>
      <c r="F17" s="76" t="s">
        <v>78</v>
      </c>
      <c r="G17" s="81">
        <f t="shared" si="0"/>
        <v>0</v>
      </c>
      <c r="I17" s="78">
        <f>(('DEBITS P810-820-S-40KG'!D26*'DEBITS P810-820-S-40KG'!E26)+('DEBITS P810-820-S-40KG'!D27*'DEBITS P810-820-S-40KG'!E27))/1000</f>
        <v>6.7519999999999998</v>
      </c>
      <c r="J17" t="s">
        <v>47</v>
      </c>
      <c r="L17" s="78">
        <f>0.06*1.1</f>
        <v>6.6000000000000003E-2</v>
      </c>
      <c r="N17" s="76">
        <f>L17*I17</f>
        <v>0.44563200000000003</v>
      </c>
    </row>
    <row r="18" spans="1:14" x14ac:dyDescent="0.25">
      <c r="A18" s="4" t="s">
        <v>22</v>
      </c>
      <c r="E18" s="84"/>
      <c r="F18" s="76" t="s">
        <v>82</v>
      </c>
      <c r="G18" s="81">
        <f t="shared" si="0"/>
        <v>0</v>
      </c>
      <c r="I18" s="83">
        <f>'DEBITS P810-820-S-40KG'!E32</f>
        <v>4</v>
      </c>
      <c r="J18" t="s">
        <v>79</v>
      </c>
      <c r="L18">
        <v>0.01</v>
      </c>
      <c r="N18" s="76">
        <f>L18*I18</f>
        <v>0.04</v>
      </c>
    </row>
    <row r="19" spans="1:14" x14ac:dyDescent="0.25">
      <c r="A19" s="4"/>
    </row>
    <row r="21" spans="1:14" x14ac:dyDescent="0.25">
      <c r="A21" t="s">
        <v>42</v>
      </c>
      <c r="B21">
        <f>'DEBITS P810-820-S-40KG'!B2</f>
        <v>2000</v>
      </c>
      <c r="C21" t="s">
        <v>44</v>
      </c>
    </row>
    <row r="22" spans="1:14" x14ac:dyDescent="0.25">
      <c r="A22" t="s">
        <v>43</v>
      </c>
      <c r="B22">
        <f>'DEBITS P810-820-S-40KG'!B3</f>
        <v>830</v>
      </c>
      <c r="C22" t="s">
        <v>44</v>
      </c>
    </row>
    <row r="24" spans="1:14" ht="15.75" thickBot="1" x14ac:dyDescent="0.3"/>
    <row r="25" spans="1:14" ht="15.75" thickBot="1" x14ac:dyDescent="0.3">
      <c r="A25" s="72" t="s">
        <v>89</v>
      </c>
      <c r="B25" s="73">
        <f>SUM(N2:N18)</f>
        <v>20.216293399999998</v>
      </c>
      <c r="C25" s="74" t="s">
        <v>45</v>
      </c>
      <c r="E25" s="72" t="s">
        <v>80</v>
      </c>
      <c r="F25" s="86"/>
      <c r="G25" s="82">
        <f>SUM(G1:G18)</f>
        <v>0</v>
      </c>
    </row>
    <row r="27" spans="1:14" x14ac:dyDescent="0.25">
      <c r="A27" s="4"/>
    </row>
  </sheetData>
  <dataValidations count="2">
    <dataValidation type="list" allowBlank="1" showInputMessage="1" showErrorMessage="1" sqref="B2:B3 B5">
      <formula1>"VERRE,MELAMINE"</formula1>
    </dataValidation>
    <dataValidation type="list" allowBlank="1" showInputMessage="1" showErrorMessage="1" sqref="C2:C3 C5">
      <formula1>"0,6,8"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DEBITS P810-820-S-40KG</vt:lpstr>
      <vt:lpstr>ESTIMATION Poids et Tarif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 05</dc:creator>
  <cp:lastModifiedBy>Lydie Bigot</cp:lastModifiedBy>
  <cp:lastPrinted>2018-01-26T09:00:48Z</cp:lastPrinted>
  <dcterms:created xsi:type="dcterms:W3CDTF">2014-04-07T15:18:27Z</dcterms:created>
  <dcterms:modified xsi:type="dcterms:W3CDTF">2018-11-16T10:49:00Z</dcterms:modified>
</cp:coreProperties>
</file>